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C2C6" lockStructure="1"/>
  <bookViews>
    <workbookView xWindow="0" yWindow="180" windowWidth="23256" windowHeight="12048"/>
  </bookViews>
  <sheets>
    <sheet name="Árkalkulátor" sheetId="3" r:id="rId1"/>
    <sheet name="Munka2" sheetId="1" state="hidden" r:id="rId2"/>
    <sheet name="Munka3" sheetId="2" state="hidden" r:id="rId3"/>
    <sheet name="Anyagjellemzők" sheetId="4" r:id="rId4"/>
  </sheets>
  <definedNames>
    <definedName name="_3M384F">Munka2!$D$3:$D$13</definedName>
    <definedName name="_3M723D">Munka2!$D$16:$D$20</definedName>
    <definedName name="_3M784F">Munka2!$D$23:$D$29</definedName>
    <definedName name="_3M947A">Munka2!$D$46:$D$49</definedName>
    <definedName name="_3M967F">Munka2!$D$32:$D$36</definedName>
    <definedName name="_3M981F">Munka2!$D$52:$D$54</definedName>
    <definedName name="_3M984F">Munka2!$D$39:$D$43</definedName>
    <definedName name="_3MDurableFlex">Munka2!$D$57:$D$59</definedName>
    <definedName name="Terméknevek">Munka2!$B$3:$B$10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58" i="1" l="1"/>
  <c r="G59" i="1"/>
  <c r="G57" i="1"/>
  <c r="G53" i="1"/>
  <c r="G54" i="1"/>
  <c r="G52" i="1"/>
  <c r="G47" i="1"/>
  <c r="G48" i="1"/>
  <c r="G49" i="1"/>
  <c r="G46" i="1"/>
  <c r="G40" i="1"/>
  <c r="G41" i="1"/>
  <c r="G42" i="1"/>
  <c r="G43" i="1"/>
  <c r="G39" i="1"/>
  <c r="G33" i="1"/>
  <c r="G34" i="1"/>
  <c r="G35" i="1"/>
  <c r="G36" i="1"/>
  <c r="G32" i="1"/>
  <c r="G24" i="1"/>
  <c r="G25" i="1"/>
  <c r="G26" i="1"/>
  <c r="G27" i="1"/>
  <c r="G28" i="1"/>
  <c r="G29" i="1"/>
  <c r="G23" i="1"/>
  <c r="G17" i="1"/>
  <c r="G18" i="1"/>
  <c r="G19" i="1"/>
  <c r="G20" i="1"/>
  <c r="G16" i="1"/>
  <c r="G4" i="1"/>
  <c r="G5" i="1"/>
  <c r="G6" i="1"/>
  <c r="G7" i="1"/>
  <c r="G8" i="1"/>
  <c r="G9" i="1"/>
  <c r="G10" i="1"/>
  <c r="G11" i="1"/>
  <c r="G12" i="1"/>
  <c r="G13" i="1"/>
  <c r="G3" i="1"/>
  <c r="J3" i="1" l="1"/>
  <c r="H9" i="3" s="1"/>
  <c r="E59" i="1"/>
  <c r="H59" i="1" s="1"/>
  <c r="E58" i="1"/>
  <c r="H58" i="1" s="1"/>
  <c r="E57" i="1"/>
  <c r="H57" i="1" s="1"/>
  <c r="E54" i="1"/>
  <c r="H54" i="1" s="1"/>
  <c r="E53" i="1"/>
  <c r="H53" i="1" s="1"/>
  <c r="E52" i="1"/>
  <c r="H52" i="1" s="1"/>
  <c r="E49" i="1"/>
  <c r="H49" i="1" s="1"/>
  <c r="E48" i="1"/>
  <c r="H48" i="1" s="1"/>
  <c r="E47" i="1"/>
  <c r="H47" i="1" s="1"/>
  <c r="E46" i="1"/>
  <c r="H46" i="1" s="1"/>
  <c r="E43" i="1"/>
  <c r="H43" i="1" s="1"/>
  <c r="E42" i="1"/>
  <c r="H42" i="1" s="1"/>
  <c r="E41" i="1"/>
  <c r="H41" i="1" s="1"/>
  <c r="E40" i="1"/>
  <c r="H40" i="1" s="1"/>
  <c r="E39" i="1"/>
  <c r="H39" i="1" s="1"/>
  <c r="E36" i="1"/>
  <c r="H36" i="1" s="1"/>
  <c r="E35" i="1"/>
  <c r="H35" i="1" s="1"/>
  <c r="E34" i="1"/>
  <c r="H34" i="1" s="1"/>
  <c r="E33" i="1"/>
  <c r="H33" i="1" s="1"/>
  <c r="E32" i="1"/>
  <c r="H32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0" i="1"/>
  <c r="E19" i="1"/>
  <c r="H19" i="1" s="1"/>
  <c r="E18" i="1"/>
  <c r="H18" i="1" s="1"/>
  <c r="E17" i="1"/>
  <c r="H17" i="1" s="1"/>
  <c r="E16" i="1"/>
  <c r="H16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E3" i="1"/>
  <c r="H3" i="1" s="1"/>
  <c r="E13" i="3" l="1"/>
  <c r="H13" i="3" l="1"/>
</calcChain>
</file>

<file path=xl/sharedStrings.xml><?xml version="1.0" encoding="utf-8"?>
<sst xmlns="http://schemas.openxmlformats.org/spreadsheetml/2006/main" count="100" uniqueCount="48">
  <si>
    <t>Válassza ki a terméket</t>
  </si>
  <si>
    <t>Válassza ki a szemcsét</t>
  </si>
  <si>
    <t>Terméknevek</t>
  </si>
  <si>
    <t>Végtelenítési díjak (milliméter)</t>
  </si>
  <si>
    <t>Hosszúság (mm)</t>
  </si>
  <si>
    <t>Egységár (Ft)</t>
  </si>
  <si>
    <t>Szélesség (mm)</t>
  </si>
  <si>
    <t>Összeg (EUR)</t>
  </si>
  <si>
    <t>_3M384F</t>
  </si>
  <si>
    <t>EUR</t>
  </si>
  <si>
    <t>36+</t>
  </si>
  <si>
    <t>50+</t>
  </si>
  <si>
    <t>60+</t>
  </si>
  <si>
    <t>80+</t>
  </si>
  <si>
    <t>120+</t>
  </si>
  <si>
    <t>150+</t>
  </si>
  <si>
    <t>180+</t>
  </si>
  <si>
    <t>220+</t>
  </si>
  <si>
    <t>240+</t>
  </si>
  <si>
    <t>320+</t>
  </si>
  <si>
    <t>400+</t>
  </si>
  <si>
    <t>_3M723D</t>
  </si>
  <si>
    <t>100+</t>
  </si>
  <si>
    <t>_3M784F</t>
  </si>
  <si>
    <t>_3M967F</t>
  </si>
  <si>
    <t>24+</t>
  </si>
  <si>
    <t>_3M984F</t>
  </si>
  <si>
    <t>_3M947A</t>
  </si>
  <si>
    <t>_3M981F</t>
  </si>
  <si>
    <t>Végtelenített szalag ára (EUR)</t>
  </si>
  <si>
    <t>60+ | R*</t>
  </si>
  <si>
    <t>40+ | R*</t>
  </si>
  <si>
    <t>36+ | R*</t>
  </si>
  <si>
    <t>120+ | R*</t>
  </si>
  <si>
    <t>80+ | R*</t>
  </si>
  <si>
    <t>220+ | R*</t>
  </si>
  <si>
    <t>180+ | R*</t>
  </si>
  <si>
    <r>
      <t xml:space="preserve">150+ | </t>
    </r>
    <r>
      <rPr>
        <sz val="11"/>
        <rFont val="Calibri"/>
        <family val="2"/>
        <charset val="238"/>
        <scheme val="minor"/>
      </rPr>
      <t>R*</t>
    </r>
  </si>
  <si>
    <t>Nem raktári termékeinkről további információkért keresse kapcsolattartóinkat!</t>
  </si>
  <si>
    <t>_3MDurableFlex</t>
  </si>
  <si>
    <t>Gyártási mennyiség (db/típus)</t>
  </si>
  <si>
    <t>Végtelenített szalag ára (HUF)</t>
  </si>
  <si>
    <t>Gyártási mennyiség -  A szalagok ezzel a darabszámmal vagy ennek többszörösével rendelhetőek!</t>
  </si>
  <si>
    <t>R* - Raktári termék - Gyártási idő: 3-5 munkanap</t>
  </si>
  <si>
    <t>AFIN</t>
  </si>
  <si>
    <t>AMED</t>
  </si>
  <si>
    <t>ACRS</t>
  </si>
  <si>
    <t>Az áraink nettó árak, az ÁFA-t nem tartalmazzák!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</si>
</sst>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theme="0"/>
      <name val="Arial"/>
      <family val="2"/>
      <charset val="238"/>
    </font>
    <font>
      <sz val="13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Border="1"/>
    <xf numFmtId="0" fontId="0" fillId="0" borderId="0" xfId="0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1" fillId="2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66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165" fontId="0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4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393170</xdr:colOff>
      <xdr:row>0</xdr:row>
      <xdr:rowOff>116417</xdr:rowOff>
    </xdr:from>
    <xdr:to>
      <xdr:col>7</xdr:col>
      <xdr:colOff>694266</xdr:colOff>
      <xdr:row>6</xdr:row>
      <xdr:rowOff>120197</xdr:rowOff>
    </xdr:to>
    <xdr:pic>
      <xdr:nvPicPr>
        <xdr:cNvPr id="2" name="Kép 1" descr="3M Cubitron II Sanding belt 60X3000MM P36+ (0C115697) | Fabor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3337" y="116417"/>
          <a:ext cx="2225146" cy="114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28" name="AutoShape 4" descr="Arzenal Szerszámáruház » Csisz.szalag Cubitron II 947A 100x289mm ..."/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260350</xdr:colOff>
      <xdr:row>0</xdr:row>
      <xdr:rowOff>143791</xdr:rowOff>
    </xdr:from>
    <xdr:to>
      <xdr:col>2</xdr:col>
      <xdr:colOff>692150</xdr:colOff>
      <xdr:row>6</xdr:row>
      <xdr:rowOff>55115</xdr:rowOff>
    </xdr:to>
    <xdr:pic>
      <xdr:nvPicPr>
        <xdr:cNvPr id="4" name="Kép 3" descr="Cubitron II | 3M in Deutschlan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" y="486691"/>
          <a:ext cx="2178050" cy="101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" name="AutoShape 6" descr="Arzenal Szerszámáruház » Csisz.szalag Cubitron II 947A 100x289mm ..."/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929794</xdr:colOff>
      <xdr:row>52</xdr:row>
      <xdr:rowOff>89047</xdr:rowOff>
    </xdr:from>
    <xdr:to>
      <xdr:col>7</xdr:col>
      <xdr:colOff>1089761</xdr:colOff>
      <xdr:row>78</xdr:row>
      <xdr:rowOff>8468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9394" y="9842647"/>
          <a:ext cx="7636034" cy="4762354"/>
        </a:xfrm>
        <a:prstGeom prst="rect">
          <a:avLst/>
        </a:prstGeom>
      </xdr:spPr>
    </xdr:pic>
    <xdr:clientData/>
  </xdr:twoCellAnchor>
  <xdr:twoCellAnchor editAs="oneCell">
    <xdr:from>
      <xdr:col>0</xdr:col>
      <xdr:colOff>415635</xdr:colOff>
      <xdr:row>20</xdr:row>
      <xdr:rowOff>183491</xdr:rowOff>
    </xdr:from>
    <xdr:to>
      <xdr:col>7</xdr:col>
      <xdr:colOff>2332565</xdr:colOff>
      <xdr:row>51</xdr:row>
      <xdr:rowOff>8468</xdr:rowOff>
    </xdr:to>
    <xdr:pic>
      <xdr:nvPicPr>
        <xdr:cNvPr id="11" name="Kép 10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5" y="3824158"/>
          <a:ext cx="10002597" cy="5599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457200</xdr:colOff>
          <xdr:row>46</xdr:row>
          <xdr:rowOff>152400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10</xdr:col>
          <xdr:colOff>457200</xdr:colOff>
          <xdr:row>93</xdr:row>
          <xdr:rowOff>76200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O21"/>
  <sheetViews>
    <sheetView showGridLines="0" tabSelected="1" zoomScale="90" zoomScaleNormal="90" workbookViewId="0">
      <selection activeCell="C12" sqref="C12"/>
    </sheetView>
  </sheetViews>
  <sheetFormatPr defaultRowHeight="14.4" x14ac:dyDescent="0.3"/>
  <cols>
    <col min="2" max="2" width="25.44140625" bestFit="1" customWidth="1"/>
    <col min="3" max="3" width="27.88671875" bestFit="1" customWidth="1"/>
    <col min="4" max="4" width="8.6640625" customWidth="1"/>
    <col min="5" max="5" width="18.5546875" bestFit="1" customWidth="1"/>
    <col min="6" max="6" width="19.6640625" bestFit="1" customWidth="1"/>
    <col min="8" max="8" width="34.109375" bestFit="1" customWidth="1"/>
  </cols>
  <sheetData>
    <row r="8" spans="2:8" ht="16.8" x14ac:dyDescent="0.3">
      <c r="B8" s="6" t="s">
        <v>0</v>
      </c>
      <c r="C8" s="6" t="s">
        <v>1</v>
      </c>
      <c r="D8" s="4"/>
      <c r="E8" s="6" t="s">
        <v>6</v>
      </c>
      <c r="F8" s="6" t="s">
        <v>4</v>
      </c>
      <c r="G8" s="4"/>
      <c r="H8" s="10" t="s">
        <v>29</v>
      </c>
    </row>
    <row r="9" spans="2:8" ht="16.95" x14ac:dyDescent="0.3">
      <c r="B9" s="5" t="s">
        <v>21</v>
      </c>
      <c r="C9" s="5" t="s">
        <v>35</v>
      </c>
      <c r="D9" s="4"/>
      <c r="E9" s="8">
        <v>75</v>
      </c>
      <c r="F9" s="8">
        <v>2000</v>
      </c>
      <c r="G9" s="4"/>
      <c r="H9" s="7">
        <f>Munka2!$J$3*$E$9*($F$9/1000)+VLOOKUP($E$9,Munka3!$E$3:$G$13,2,1)</f>
        <v>7.9894999999999996</v>
      </c>
    </row>
    <row r="10" spans="2:8" x14ac:dyDescent="0.3">
      <c r="C10" s="3"/>
    </row>
    <row r="12" spans="2:8" ht="16.8" x14ac:dyDescent="0.3">
      <c r="E12" s="33" t="s">
        <v>40</v>
      </c>
      <c r="F12" s="33"/>
      <c r="H12" s="10" t="s">
        <v>41</v>
      </c>
    </row>
    <row r="13" spans="2:8" ht="16.95" x14ac:dyDescent="0.3">
      <c r="E13" s="34">
        <f>ROUNDDOWN(300/$E$9,0)</f>
        <v>4</v>
      </c>
      <c r="F13" s="34"/>
      <c r="H13" s="9">
        <f>$H$9*362</f>
        <v>2892.1990000000001</v>
      </c>
    </row>
    <row r="17" spans="2:15" x14ac:dyDescent="0.3">
      <c r="B17" s="41" t="s">
        <v>47</v>
      </c>
      <c r="C17" s="41"/>
      <c r="D17" s="41"/>
      <c r="E17" s="41"/>
      <c r="F17" s="41"/>
    </row>
    <row r="18" spans="2:15" x14ac:dyDescent="0.3">
      <c r="B18" s="35" t="s">
        <v>43</v>
      </c>
      <c r="C18" s="35"/>
      <c r="D18" s="35"/>
      <c r="E18" s="35"/>
      <c r="F18" s="35"/>
    </row>
    <row r="19" spans="2:15" x14ac:dyDescent="0.3">
      <c r="B19" s="36" t="s">
        <v>38</v>
      </c>
      <c r="C19" s="36"/>
      <c r="D19" s="36"/>
      <c r="E19" s="36"/>
      <c r="F19" s="36"/>
    </row>
    <row r="20" spans="2:15" x14ac:dyDescent="0.3">
      <c r="B20" s="35" t="s">
        <v>42</v>
      </c>
      <c r="C20" s="35"/>
      <c r="D20" s="35"/>
      <c r="E20" s="35"/>
      <c r="F20" s="35"/>
    </row>
    <row r="21" spans="2:15" x14ac:dyDescent="0.3">
      <c r="M21" s="11"/>
      <c r="N21" s="11"/>
      <c r="O21" s="11"/>
    </row>
  </sheetData>
  <mergeCells count="6">
    <mergeCell ref="E12:F12"/>
    <mergeCell ref="E13:F13"/>
    <mergeCell ref="B18:F18"/>
    <mergeCell ref="B19:F19"/>
    <mergeCell ref="B20:F20"/>
    <mergeCell ref="B17:F17"/>
  </mergeCells>
  <dataValidations count="2">
    <dataValidation type="list" allowBlank="1" showInputMessage="1" showErrorMessage="1" sqref="C9">
      <formula1>INDIRECT(B9)</formula1>
    </dataValidation>
    <dataValidation type="list" allowBlank="1" showInputMessage="1" showErrorMessage="1" sqref="B9">
      <formula1>Terméknevek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9"/>
  <sheetViews>
    <sheetView zoomScaleNormal="100" workbookViewId="0">
      <selection activeCell="J7" sqref="J7"/>
    </sheetView>
  </sheetViews>
  <sheetFormatPr defaultColWidth="9.109375" defaultRowHeight="14.4" x14ac:dyDescent="0.3"/>
  <cols>
    <col min="1" max="1" width="9.109375" style="1"/>
    <col min="2" max="2" width="17.6640625" style="25" customWidth="1"/>
    <col min="3" max="3" width="9.109375" style="1"/>
    <col min="4" max="4" width="15.33203125" style="25" bestFit="1" customWidth="1"/>
    <col min="5" max="5" width="10.33203125" style="29" bestFit="1" customWidth="1"/>
    <col min="6" max="6" width="7.6640625" customWidth="1"/>
    <col min="7" max="7" width="25.44140625" style="30" bestFit="1" customWidth="1"/>
    <col min="8" max="8" width="13.44140625" style="31" bestFit="1" customWidth="1"/>
    <col min="9" max="9" width="7.6640625" customWidth="1"/>
    <col min="10" max="10" width="12.33203125" style="27" bestFit="1" customWidth="1"/>
    <col min="11" max="11" width="10.33203125" style="1" bestFit="1" customWidth="1"/>
    <col min="12" max="16384" width="9.109375" style="1"/>
  </cols>
  <sheetData>
    <row r="2" spans="2:10" x14ac:dyDescent="0.3">
      <c r="B2" s="19" t="s">
        <v>2</v>
      </c>
      <c r="D2" s="19" t="s">
        <v>8</v>
      </c>
      <c r="E2" s="20" t="s">
        <v>9</v>
      </c>
      <c r="G2" s="19" t="s">
        <v>8</v>
      </c>
      <c r="H2" s="20" t="s">
        <v>9</v>
      </c>
      <c r="J2" s="12" t="s">
        <v>5</v>
      </c>
    </row>
    <row r="3" spans="2:10" x14ac:dyDescent="0.3">
      <c r="B3" s="13" t="s">
        <v>8</v>
      </c>
      <c r="D3" s="24" t="s">
        <v>10</v>
      </c>
      <c r="E3" s="14">
        <f>20.268/300</f>
        <v>6.7560000000000009E-2</v>
      </c>
      <c r="G3" s="23" t="str">
        <f>CONCATENATE(D$2," # ",D3)</f>
        <v>_3M384F # 36+</v>
      </c>
      <c r="H3" s="16">
        <f>E3</f>
        <v>6.7560000000000009E-2</v>
      </c>
      <c r="J3" s="18">
        <f>VLOOKUP(CONCATENATE(Árkalkulátor!$B$9," # ",Árkalkulátor!$C$9),G:H,2,0)</f>
        <v>4.9929999999999995E-2</v>
      </c>
    </row>
    <row r="4" spans="2:10" x14ac:dyDescent="0.3">
      <c r="B4" s="13" t="s">
        <v>21</v>
      </c>
      <c r="D4" s="22" t="s">
        <v>11</v>
      </c>
      <c r="E4" s="15">
        <f>17.724/300</f>
        <v>5.9080000000000001E-2</v>
      </c>
      <c r="G4" s="23" t="str">
        <f t="shared" ref="G4:G13" si="0">CONCATENATE(D$2," # ",D4)</f>
        <v>_3M384F # 50+</v>
      </c>
      <c r="H4" s="17">
        <f t="shared" ref="H4:H13" si="1">E4</f>
        <v>5.9080000000000001E-2</v>
      </c>
    </row>
    <row r="5" spans="2:10" x14ac:dyDescent="0.3">
      <c r="B5" s="13" t="s">
        <v>23</v>
      </c>
      <c r="D5" s="22" t="s">
        <v>12</v>
      </c>
      <c r="E5" s="15">
        <f>15.847/300</f>
        <v>5.2823333333333333E-2</v>
      </c>
      <c r="G5" s="23" t="str">
        <f t="shared" si="0"/>
        <v>_3M384F # 60+</v>
      </c>
      <c r="H5" s="17">
        <f t="shared" si="1"/>
        <v>5.2823333333333333E-2</v>
      </c>
    </row>
    <row r="6" spans="2:10" x14ac:dyDescent="0.3">
      <c r="B6" s="13" t="s">
        <v>24</v>
      </c>
      <c r="D6" s="22" t="s">
        <v>13</v>
      </c>
      <c r="E6" s="15">
        <f>14.864/300</f>
        <v>4.9546666666666669E-2</v>
      </c>
      <c r="G6" s="23" t="str">
        <f t="shared" si="0"/>
        <v>_3M384F # 80+</v>
      </c>
      <c r="H6" s="17">
        <f t="shared" si="1"/>
        <v>4.9546666666666669E-2</v>
      </c>
    </row>
    <row r="7" spans="2:10" x14ac:dyDescent="0.3">
      <c r="B7" s="13" t="s">
        <v>26</v>
      </c>
      <c r="D7" s="22" t="s">
        <v>14</v>
      </c>
      <c r="E7" s="15">
        <f>12.665/300</f>
        <v>4.2216666666666666E-2</v>
      </c>
      <c r="G7" s="23" t="str">
        <f t="shared" si="0"/>
        <v>_3M384F # 120+</v>
      </c>
      <c r="H7" s="17">
        <f t="shared" si="1"/>
        <v>4.2216666666666666E-2</v>
      </c>
    </row>
    <row r="8" spans="2:10" x14ac:dyDescent="0.3">
      <c r="B8" s="13" t="s">
        <v>27</v>
      </c>
      <c r="D8" s="22" t="s">
        <v>15</v>
      </c>
      <c r="E8" s="15">
        <f>12.782/300</f>
        <v>4.2606666666666668E-2</v>
      </c>
      <c r="G8" s="23" t="str">
        <f t="shared" si="0"/>
        <v>_3M384F # 150+</v>
      </c>
      <c r="H8" s="17">
        <f t="shared" si="1"/>
        <v>4.2606666666666668E-2</v>
      </c>
      <c r="J8" s="26"/>
    </row>
    <row r="9" spans="2:10" x14ac:dyDescent="0.3">
      <c r="B9" s="13" t="s">
        <v>28</v>
      </c>
      <c r="D9" s="22" t="s">
        <v>16</v>
      </c>
      <c r="E9" s="15">
        <f>12.351/300</f>
        <v>4.1170000000000005E-2</v>
      </c>
      <c r="G9" s="23" t="str">
        <f t="shared" si="0"/>
        <v>_3M384F # 180+</v>
      </c>
      <c r="H9" s="17">
        <f t="shared" si="1"/>
        <v>4.1170000000000005E-2</v>
      </c>
      <c r="J9" s="26"/>
    </row>
    <row r="10" spans="2:10" x14ac:dyDescent="0.3">
      <c r="B10" s="13" t="s">
        <v>39</v>
      </c>
      <c r="D10" s="22" t="s">
        <v>17</v>
      </c>
      <c r="E10" s="15">
        <f>12.539/300</f>
        <v>4.1796666666666663E-2</v>
      </c>
      <c r="G10" s="23" t="str">
        <f t="shared" si="0"/>
        <v>_3M384F # 220+</v>
      </c>
      <c r="H10" s="17">
        <f t="shared" si="1"/>
        <v>4.1796666666666663E-2</v>
      </c>
    </row>
    <row r="11" spans="2:10" x14ac:dyDescent="0.3">
      <c r="B11" s="21"/>
      <c r="D11" s="22" t="s">
        <v>18</v>
      </c>
      <c r="E11" s="15">
        <f>13.143/300</f>
        <v>4.3810000000000002E-2</v>
      </c>
      <c r="G11" s="23" t="str">
        <f t="shared" si="0"/>
        <v>_3M384F # 240+</v>
      </c>
      <c r="H11" s="17">
        <f t="shared" si="1"/>
        <v>4.3810000000000002E-2</v>
      </c>
    </row>
    <row r="12" spans="2:10" x14ac:dyDescent="0.3">
      <c r="B12" s="21"/>
      <c r="D12" s="22" t="s">
        <v>19</v>
      </c>
      <c r="E12" s="15">
        <f>13.243/300</f>
        <v>4.4143333333333333E-2</v>
      </c>
      <c r="G12" s="23" t="str">
        <f t="shared" si="0"/>
        <v>_3M384F # 320+</v>
      </c>
      <c r="H12" s="17">
        <f t="shared" si="1"/>
        <v>4.4143333333333333E-2</v>
      </c>
    </row>
    <row r="13" spans="2:10" x14ac:dyDescent="0.3">
      <c r="B13" s="21"/>
      <c r="D13" s="22" t="s">
        <v>20</v>
      </c>
      <c r="E13" s="15">
        <f>13.462/300</f>
        <v>4.4873333333333335E-2</v>
      </c>
      <c r="G13" s="23" t="str">
        <f t="shared" si="0"/>
        <v>_3M384F # 400+</v>
      </c>
      <c r="H13" s="17">
        <f t="shared" si="1"/>
        <v>4.4873333333333335E-2</v>
      </c>
    </row>
    <row r="14" spans="2:10" x14ac:dyDescent="0.3">
      <c r="D14" s="21"/>
      <c r="E14" s="28"/>
    </row>
    <row r="15" spans="2:10" x14ac:dyDescent="0.3">
      <c r="D15" s="19" t="s">
        <v>21</v>
      </c>
      <c r="E15" s="20" t="s">
        <v>9</v>
      </c>
      <c r="G15" s="19" t="s">
        <v>21</v>
      </c>
      <c r="H15" s="20" t="s">
        <v>9</v>
      </c>
    </row>
    <row r="16" spans="2:10" x14ac:dyDescent="0.3">
      <c r="D16" s="22" t="s">
        <v>22</v>
      </c>
      <c r="E16" s="15">
        <f>15.689/300</f>
        <v>5.2296666666666665E-2</v>
      </c>
      <c r="G16" s="23" t="str">
        <f>CONCATENATE(D$15," # ",D16)</f>
        <v>_3M723D # 100+</v>
      </c>
      <c r="H16" s="17">
        <f t="shared" ref="H16:H20" si="2">E16</f>
        <v>5.2296666666666665E-2</v>
      </c>
    </row>
    <row r="17" spans="4:8" x14ac:dyDescent="0.3">
      <c r="D17" s="22" t="s">
        <v>14</v>
      </c>
      <c r="E17" s="15">
        <f>14.868/300</f>
        <v>4.956E-2</v>
      </c>
      <c r="G17" s="23" t="str">
        <f t="shared" ref="G17:G20" si="3">CONCATENATE(D$15," # ",D17)</f>
        <v>_3M723D # 120+</v>
      </c>
      <c r="H17" s="17">
        <f t="shared" si="2"/>
        <v>4.956E-2</v>
      </c>
    </row>
    <row r="18" spans="4:8" x14ac:dyDescent="0.3">
      <c r="D18" s="22" t="s">
        <v>37</v>
      </c>
      <c r="E18" s="15">
        <f>14.979/300</f>
        <v>4.9929999999999995E-2</v>
      </c>
      <c r="G18" s="23" t="str">
        <f t="shared" si="3"/>
        <v>_3M723D # 150+ | R*</v>
      </c>
      <c r="H18" s="17">
        <f t="shared" si="2"/>
        <v>4.9929999999999995E-2</v>
      </c>
    </row>
    <row r="19" spans="4:8" x14ac:dyDescent="0.3">
      <c r="D19" s="22" t="s">
        <v>36</v>
      </c>
      <c r="E19" s="15">
        <f>14.23/300</f>
        <v>4.7433333333333334E-2</v>
      </c>
      <c r="G19" s="23" t="str">
        <f t="shared" si="3"/>
        <v>_3M723D # 180+ | R*</v>
      </c>
      <c r="H19" s="17">
        <f t="shared" si="2"/>
        <v>4.7433333333333334E-2</v>
      </c>
    </row>
    <row r="20" spans="4:8" x14ac:dyDescent="0.3">
      <c r="D20" s="23" t="s">
        <v>35</v>
      </c>
      <c r="E20" s="15">
        <f>14.979/300</f>
        <v>4.9929999999999995E-2</v>
      </c>
      <c r="G20" s="23" t="str">
        <f t="shared" si="3"/>
        <v>_3M723D # 220+ | R*</v>
      </c>
      <c r="H20" s="17">
        <f t="shared" si="2"/>
        <v>4.9929999999999995E-2</v>
      </c>
    </row>
    <row r="22" spans="4:8" x14ac:dyDescent="0.3">
      <c r="D22" s="19" t="s">
        <v>23</v>
      </c>
      <c r="E22" s="20" t="s">
        <v>9</v>
      </c>
      <c r="G22" s="19" t="s">
        <v>23</v>
      </c>
      <c r="H22" s="20" t="s">
        <v>9</v>
      </c>
    </row>
    <row r="23" spans="4:8" x14ac:dyDescent="0.3">
      <c r="D23" s="22" t="s">
        <v>32</v>
      </c>
      <c r="E23" s="15">
        <f>27.729/300</f>
        <v>9.2429999999999998E-2</v>
      </c>
      <c r="G23" s="23" t="str">
        <f>CONCATENATE(D$22," # ",D23)</f>
        <v>_3M784F # 36+ | R*</v>
      </c>
      <c r="H23" s="17">
        <f t="shared" ref="H23:H29" si="4">E23</f>
        <v>9.2429999999999998E-2</v>
      </c>
    </row>
    <row r="24" spans="4:8" x14ac:dyDescent="0.3">
      <c r="D24" s="22" t="s">
        <v>11</v>
      </c>
      <c r="E24" s="15">
        <f>27.339/300</f>
        <v>9.1129999999999989E-2</v>
      </c>
      <c r="G24" s="23" t="str">
        <f t="shared" ref="G24:G29" si="5">CONCATENATE(D$22," # ",D24)</f>
        <v>_3M784F # 50+</v>
      </c>
      <c r="H24" s="17">
        <f t="shared" si="4"/>
        <v>9.1129999999999989E-2</v>
      </c>
    </row>
    <row r="25" spans="4:8" x14ac:dyDescent="0.3">
      <c r="D25" s="22" t="s">
        <v>30</v>
      </c>
      <c r="E25" s="15">
        <f>26.718/300</f>
        <v>8.906E-2</v>
      </c>
      <c r="G25" s="23" t="str">
        <f t="shared" si="5"/>
        <v>_3M784F # 60+ | R*</v>
      </c>
      <c r="H25" s="17">
        <f t="shared" si="4"/>
        <v>8.906E-2</v>
      </c>
    </row>
    <row r="26" spans="4:8" x14ac:dyDescent="0.3">
      <c r="D26" s="22" t="s">
        <v>34</v>
      </c>
      <c r="E26" s="15">
        <f>25.169/300</f>
        <v>8.3896666666666675E-2</v>
      </c>
      <c r="G26" s="23" t="str">
        <f t="shared" si="5"/>
        <v>_3M784F # 80+ | R*</v>
      </c>
      <c r="H26" s="17">
        <f t="shared" si="4"/>
        <v>8.3896666666666675E-2</v>
      </c>
    </row>
    <row r="27" spans="4:8" x14ac:dyDescent="0.3">
      <c r="D27" s="23" t="s">
        <v>33</v>
      </c>
      <c r="E27" s="15">
        <f>23.165/300</f>
        <v>7.721666666666667E-2</v>
      </c>
      <c r="G27" s="23" t="str">
        <f t="shared" si="5"/>
        <v>_3M784F # 120+ | R*</v>
      </c>
      <c r="H27" s="17">
        <f t="shared" si="4"/>
        <v>7.721666666666667E-2</v>
      </c>
    </row>
    <row r="28" spans="4:8" x14ac:dyDescent="0.3">
      <c r="D28" s="23" t="s">
        <v>15</v>
      </c>
      <c r="E28" s="15">
        <f>23.168/300</f>
        <v>7.7226666666666666E-2</v>
      </c>
      <c r="G28" s="23" t="str">
        <f t="shared" si="5"/>
        <v>_3M784F # 150+</v>
      </c>
      <c r="H28" s="17">
        <f t="shared" si="4"/>
        <v>7.7226666666666666E-2</v>
      </c>
    </row>
    <row r="29" spans="4:8" x14ac:dyDescent="0.3">
      <c r="D29" s="23" t="s">
        <v>16</v>
      </c>
      <c r="E29" s="15">
        <f>23.305/300</f>
        <v>7.7683333333333326E-2</v>
      </c>
      <c r="G29" s="23" t="str">
        <f t="shared" si="5"/>
        <v>_3M784F # 180+</v>
      </c>
      <c r="H29" s="17">
        <f t="shared" si="4"/>
        <v>7.7683333333333326E-2</v>
      </c>
    </row>
    <row r="31" spans="4:8" x14ac:dyDescent="0.3">
      <c r="D31" s="19" t="s">
        <v>24</v>
      </c>
      <c r="E31" s="20" t="s">
        <v>9</v>
      </c>
      <c r="G31" s="19" t="s">
        <v>24</v>
      </c>
      <c r="H31" s="20" t="s">
        <v>9</v>
      </c>
    </row>
    <row r="32" spans="4:8" x14ac:dyDescent="0.3">
      <c r="D32" s="22" t="s">
        <v>25</v>
      </c>
      <c r="E32" s="15">
        <f>49.475/300</f>
        <v>0.16491666666666668</v>
      </c>
      <c r="G32" s="23" t="str">
        <f>CONCATENATE(D$31," # ",D32)</f>
        <v>_3M967F # 24+</v>
      </c>
      <c r="H32" s="17">
        <f t="shared" ref="H32:H36" si="6">E32</f>
        <v>0.16491666666666668</v>
      </c>
    </row>
    <row r="33" spans="4:8" x14ac:dyDescent="0.3">
      <c r="D33" s="22" t="s">
        <v>10</v>
      </c>
      <c r="E33" s="15">
        <f>39.048/300</f>
        <v>0.13016</v>
      </c>
      <c r="G33" s="23" t="str">
        <f t="shared" ref="G33:G36" si="7">CONCATENATE(D$31," # ",D33)</f>
        <v>_3M967F # 36+</v>
      </c>
      <c r="H33" s="17">
        <f t="shared" si="6"/>
        <v>0.13016</v>
      </c>
    </row>
    <row r="34" spans="4:8" x14ac:dyDescent="0.3">
      <c r="D34" s="22" t="s">
        <v>11</v>
      </c>
      <c r="E34" s="15">
        <f>31.698/300</f>
        <v>0.10566</v>
      </c>
      <c r="G34" s="23" t="str">
        <f t="shared" si="7"/>
        <v>_3M967F # 50+</v>
      </c>
      <c r="H34" s="17">
        <f t="shared" si="6"/>
        <v>0.10566</v>
      </c>
    </row>
    <row r="35" spans="4:8" x14ac:dyDescent="0.3">
      <c r="D35" s="23" t="s">
        <v>12</v>
      </c>
      <c r="E35" s="15">
        <f>30.422/300</f>
        <v>0.10140666666666667</v>
      </c>
      <c r="G35" s="23" t="str">
        <f t="shared" si="7"/>
        <v>_3M967F # 60+</v>
      </c>
      <c r="H35" s="17">
        <f t="shared" si="6"/>
        <v>0.10140666666666667</v>
      </c>
    </row>
    <row r="36" spans="4:8" x14ac:dyDescent="0.3">
      <c r="D36" s="23" t="s">
        <v>13</v>
      </c>
      <c r="E36" s="15">
        <f>29.036/300</f>
        <v>9.6786666666666674E-2</v>
      </c>
      <c r="G36" s="23" t="str">
        <f t="shared" si="7"/>
        <v>_3M967F # 80+</v>
      </c>
      <c r="H36" s="17">
        <f t="shared" si="6"/>
        <v>9.6786666666666674E-2</v>
      </c>
    </row>
    <row r="38" spans="4:8" x14ac:dyDescent="0.3">
      <c r="D38" s="19" t="s">
        <v>26</v>
      </c>
      <c r="E38" s="20" t="s">
        <v>9</v>
      </c>
      <c r="G38" s="19" t="s">
        <v>26</v>
      </c>
      <c r="H38" s="20" t="s">
        <v>9</v>
      </c>
    </row>
    <row r="39" spans="4:8" x14ac:dyDescent="0.3">
      <c r="D39" s="22" t="s">
        <v>32</v>
      </c>
      <c r="E39" s="15">
        <f>35.275/300</f>
        <v>0.11758333333333333</v>
      </c>
      <c r="G39" s="23" t="str">
        <f>CONCATENATE(D$38," # ",D39)</f>
        <v>_3M984F # 36+ | R*</v>
      </c>
      <c r="H39" s="17">
        <f t="shared" ref="H39:H43" si="8">E39</f>
        <v>0.11758333333333333</v>
      </c>
    </row>
    <row r="40" spans="4:8" x14ac:dyDescent="0.3">
      <c r="D40" s="22" t="s">
        <v>11</v>
      </c>
      <c r="E40" s="15">
        <f>29.825/300</f>
        <v>9.9416666666666667E-2</v>
      </c>
      <c r="G40" s="23" t="str">
        <f t="shared" ref="G40:G43" si="9">CONCATENATE(D$38," # ",D40)</f>
        <v>_3M984F # 50+</v>
      </c>
      <c r="H40" s="17">
        <f t="shared" si="8"/>
        <v>9.9416666666666667E-2</v>
      </c>
    </row>
    <row r="41" spans="4:8" x14ac:dyDescent="0.3">
      <c r="D41" s="22" t="s">
        <v>30</v>
      </c>
      <c r="E41" s="15">
        <f>28.571/300</f>
        <v>9.5236666666666678E-2</v>
      </c>
      <c r="G41" s="23" t="str">
        <f t="shared" si="9"/>
        <v>_3M984F # 60+ | R*</v>
      </c>
      <c r="H41" s="17">
        <f t="shared" si="8"/>
        <v>9.5236666666666678E-2</v>
      </c>
    </row>
    <row r="42" spans="4:8" x14ac:dyDescent="0.3">
      <c r="D42" s="22" t="s">
        <v>34</v>
      </c>
      <c r="E42" s="15">
        <f>27.266/300</f>
        <v>9.0886666666666657E-2</v>
      </c>
      <c r="G42" s="23" t="str">
        <f t="shared" si="9"/>
        <v>_3M984F # 80+ | R*</v>
      </c>
      <c r="H42" s="17">
        <f t="shared" si="8"/>
        <v>9.0886666666666657E-2</v>
      </c>
    </row>
    <row r="43" spans="4:8" x14ac:dyDescent="0.3">
      <c r="D43" s="23" t="s">
        <v>14</v>
      </c>
      <c r="E43" s="15">
        <f>25.5/300</f>
        <v>8.5000000000000006E-2</v>
      </c>
      <c r="G43" s="23" t="str">
        <f t="shared" si="9"/>
        <v>_3M984F # 120+</v>
      </c>
      <c r="H43" s="17">
        <f t="shared" si="8"/>
        <v>8.5000000000000006E-2</v>
      </c>
    </row>
    <row r="45" spans="4:8" x14ac:dyDescent="0.3">
      <c r="D45" s="19" t="s">
        <v>27</v>
      </c>
      <c r="E45" s="20" t="s">
        <v>9</v>
      </c>
      <c r="G45" s="19" t="s">
        <v>27</v>
      </c>
      <c r="H45" s="20" t="s">
        <v>9</v>
      </c>
    </row>
    <row r="46" spans="4:8" x14ac:dyDescent="0.3">
      <c r="D46" s="23" t="s">
        <v>31</v>
      </c>
      <c r="E46" s="15">
        <f>27.723/300</f>
        <v>9.2409999999999992E-2</v>
      </c>
      <c r="G46" s="23" t="str">
        <f>CONCATENATE(D$45," # ",D46)</f>
        <v>_3M947A # 40+ | R*</v>
      </c>
      <c r="H46" s="17">
        <f t="shared" ref="H46" si="10">E46</f>
        <v>9.2409999999999992E-2</v>
      </c>
    </row>
    <row r="47" spans="4:8" x14ac:dyDescent="0.3">
      <c r="D47" s="23" t="s">
        <v>30</v>
      </c>
      <c r="E47" s="15">
        <f>24.898/300</f>
        <v>8.2993333333333336E-2</v>
      </c>
      <c r="G47" s="23" t="str">
        <f t="shared" ref="G47:G49" si="11">CONCATENATE(D$45," # ",D47)</f>
        <v>_3M947A # 60+ | R*</v>
      </c>
      <c r="H47" s="17">
        <f>E47</f>
        <v>8.2993333333333336E-2</v>
      </c>
    </row>
    <row r="48" spans="4:8" x14ac:dyDescent="0.3">
      <c r="D48" s="23" t="s">
        <v>34</v>
      </c>
      <c r="E48" s="15">
        <f>23.761/300</f>
        <v>7.9203333333333334E-2</v>
      </c>
      <c r="G48" s="23" t="str">
        <f t="shared" si="11"/>
        <v>_3M947A # 80+ | R*</v>
      </c>
      <c r="H48" s="17">
        <f>E48</f>
        <v>7.9203333333333334E-2</v>
      </c>
    </row>
    <row r="49" spans="3:9" x14ac:dyDescent="0.3">
      <c r="D49" s="23" t="s">
        <v>33</v>
      </c>
      <c r="E49" s="15">
        <f>21.64/300</f>
        <v>7.2133333333333341E-2</v>
      </c>
      <c r="G49" s="23" t="str">
        <f t="shared" si="11"/>
        <v>_3M947A # 120+ | R*</v>
      </c>
      <c r="H49" s="17">
        <f>E49</f>
        <v>7.2133333333333341E-2</v>
      </c>
    </row>
    <row r="51" spans="3:9" x14ac:dyDescent="0.3">
      <c r="D51" s="19" t="s">
        <v>28</v>
      </c>
      <c r="E51" s="20" t="s">
        <v>9</v>
      </c>
      <c r="G51" s="19" t="s">
        <v>28</v>
      </c>
      <c r="H51" s="20" t="s">
        <v>9</v>
      </c>
    </row>
    <row r="52" spans="3:9" x14ac:dyDescent="0.3">
      <c r="D52" s="23" t="s">
        <v>32</v>
      </c>
      <c r="E52" s="15">
        <f>25.762/300</f>
        <v>8.5873333333333329E-2</v>
      </c>
      <c r="G52" s="23" t="str">
        <f>CONCATENATE(D$51," # ",D52)</f>
        <v>_3M981F # 36+ | R*</v>
      </c>
      <c r="H52" s="17">
        <f t="shared" ref="H52:H54" si="12">E52</f>
        <v>8.5873333333333329E-2</v>
      </c>
    </row>
    <row r="53" spans="3:9" x14ac:dyDescent="0.3">
      <c r="D53" s="23" t="s">
        <v>31</v>
      </c>
      <c r="E53" s="15">
        <f>24.756/300</f>
        <v>8.2519999999999996E-2</v>
      </c>
      <c r="G53" s="23" t="str">
        <f t="shared" ref="G53:G54" si="13">CONCATENATE(D$51," # ",D53)</f>
        <v>_3M981F # 40+ | R*</v>
      </c>
      <c r="H53" s="17">
        <f t="shared" si="12"/>
        <v>8.2519999999999996E-2</v>
      </c>
    </row>
    <row r="54" spans="3:9" x14ac:dyDescent="0.3">
      <c r="D54" s="23" t="s">
        <v>30</v>
      </c>
      <c r="E54" s="15">
        <f>22.163/300</f>
        <v>7.3876666666666674E-2</v>
      </c>
      <c r="G54" s="23" t="str">
        <f t="shared" si="13"/>
        <v>_3M981F # 60+ | R*</v>
      </c>
      <c r="H54" s="17">
        <f t="shared" si="12"/>
        <v>7.3876666666666674E-2</v>
      </c>
    </row>
    <row r="56" spans="3:9" x14ac:dyDescent="0.3">
      <c r="D56" s="19" t="s">
        <v>39</v>
      </c>
      <c r="E56" s="20" t="s">
        <v>9</v>
      </c>
      <c r="G56" s="19" t="s">
        <v>39</v>
      </c>
      <c r="H56" s="20" t="s">
        <v>9</v>
      </c>
    </row>
    <row r="57" spans="3:9" x14ac:dyDescent="0.3">
      <c r="D57" s="24" t="s">
        <v>44</v>
      </c>
      <c r="E57" s="14">
        <f>50.139/300</f>
        <v>0.16713</v>
      </c>
      <c r="G57" s="23" t="str">
        <f>CONCATENATE(D$56," # ",D57)</f>
        <v>_3MDurableFlex # AFIN</v>
      </c>
      <c r="H57" s="17">
        <f>E57</f>
        <v>0.16713</v>
      </c>
    </row>
    <row r="58" spans="3:9" x14ac:dyDescent="0.3">
      <c r="D58" s="23" t="s">
        <v>45</v>
      </c>
      <c r="E58" s="15">
        <f>50.139/300</f>
        <v>0.16713</v>
      </c>
      <c r="G58" s="23" t="str">
        <f t="shared" ref="G58:G59" si="14">CONCATENATE(D$56," # ",D58)</f>
        <v>_3MDurableFlex # AMED</v>
      </c>
      <c r="H58" s="17">
        <f t="shared" ref="H58" si="15">E58</f>
        <v>0.16713</v>
      </c>
    </row>
    <row r="59" spans="3:9" x14ac:dyDescent="0.3">
      <c r="D59" s="23" t="s">
        <v>46</v>
      </c>
      <c r="E59" s="15">
        <f>53.26/300</f>
        <v>0.17753333333333332</v>
      </c>
      <c r="G59" s="23" t="str">
        <f t="shared" si="14"/>
        <v>_3MDurableFlex # ACRS</v>
      </c>
      <c r="H59" s="17">
        <f>E59</f>
        <v>0.17753333333333332</v>
      </c>
    </row>
    <row r="63" spans="3:9" x14ac:dyDescent="0.3">
      <c r="C63" s="2"/>
      <c r="F63" s="2"/>
      <c r="G63" s="25"/>
      <c r="H63" s="29"/>
      <c r="I63" s="2"/>
    </row>
    <row r="64" spans="3:9" x14ac:dyDescent="0.3">
      <c r="C64" s="2"/>
      <c r="F64" s="2"/>
      <c r="G64" s="25"/>
      <c r="H64" s="29"/>
      <c r="I64" s="2"/>
    </row>
    <row r="65" spans="3:9" x14ac:dyDescent="0.3">
      <c r="C65" s="2"/>
      <c r="F65" s="2"/>
      <c r="G65" s="25"/>
      <c r="H65" s="29"/>
      <c r="I65" s="2"/>
    </row>
    <row r="66" spans="3:9" x14ac:dyDescent="0.3">
      <c r="C66" s="2"/>
      <c r="F66" s="2"/>
      <c r="G66" s="25"/>
      <c r="H66" s="29"/>
      <c r="I66" s="2"/>
    </row>
    <row r="67" spans="3:9" x14ac:dyDescent="0.3">
      <c r="C67" s="2"/>
      <c r="F67" s="2"/>
      <c r="G67" s="25"/>
      <c r="H67" s="29"/>
      <c r="I67" s="2"/>
    </row>
    <row r="68" spans="3:9" x14ac:dyDescent="0.3">
      <c r="C68" s="2"/>
      <c r="F68" s="2"/>
      <c r="G68" s="25"/>
      <c r="H68" s="29"/>
      <c r="I68" s="2"/>
    </row>
    <row r="69" spans="3:9" x14ac:dyDescent="0.3">
      <c r="C69" s="2"/>
      <c r="F69" s="2"/>
      <c r="G69" s="25"/>
      <c r="H69" s="29"/>
      <c r="I69" s="2"/>
    </row>
    <row r="70" spans="3:9" x14ac:dyDescent="0.3">
      <c r="C70" s="2"/>
      <c r="F70" s="2"/>
      <c r="G70" s="25"/>
      <c r="H70" s="29"/>
      <c r="I70" s="2"/>
    </row>
    <row r="71" spans="3:9" x14ac:dyDescent="0.3">
      <c r="C71" s="2"/>
      <c r="F71" s="2"/>
      <c r="G71" s="25"/>
      <c r="H71" s="29"/>
      <c r="I71" s="2"/>
    </row>
    <row r="72" spans="3:9" x14ac:dyDescent="0.3">
      <c r="C72" s="2"/>
      <c r="F72" s="2"/>
      <c r="G72" s="25"/>
      <c r="H72" s="29"/>
      <c r="I72" s="2"/>
    </row>
    <row r="73" spans="3:9" x14ac:dyDescent="0.3">
      <c r="C73" s="2"/>
      <c r="F73" s="2"/>
      <c r="G73" s="25"/>
      <c r="H73" s="29"/>
      <c r="I73" s="2"/>
    </row>
    <row r="74" spans="3:9" x14ac:dyDescent="0.3">
      <c r="C74" s="2"/>
      <c r="F74" s="2"/>
      <c r="G74" s="25"/>
      <c r="H74" s="29"/>
      <c r="I74" s="2"/>
    </row>
    <row r="75" spans="3:9" x14ac:dyDescent="0.3">
      <c r="C75" s="2"/>
      <c r="F75" s="2"/>
      <c r="G75" s="25"/>
      <c r="H75" s="29"/>
      <c r="I75" s="2"/>
    </row>
    <row r="76" spans="3:9" x14ac:dyDescent="0.3">
      <c r="C76" s="2"/>
      <c r="F76" s="2"/>
      <c r="G76" s="25"/>
      <c r="H76" s="29"/>
      <c r="I76" s="2"/>
    </row>
    <row r="77" spans="3:9" x14ac:dyDescent="0.3">
      <c r="C77" s="2"/>
      <c r="F77" s="2"/>
      <c r="G77" s="25"/>
      <c r="H77" s="29"/>
      <c r="I77" s="2"/>
    </row>
    <row r="78" spans="3:9" x14ac:dyDescent="0.3">
      <c r="C78" s="2"/>
      <c r="F78" s="2"/>
      <c r="G78" s="25"/>
      <c r="H78" s="29"/>
      <c r="I78" s="2"/>
    </row>
    <row r="79" spans="3:9" x14ac:dyDescent="0.3">
      <c r="C79" s="2"/>
      <c r="F79" s="2"/>
      <c r="G79" s="25"/>
      <c r="H79" s="29"/>
      <c r="I79" s="2"/>
    </row>
    <row r="80" spans="3:9" x14ac:dyDescent="0.3">
      <c r="C80" s="2"/>
      <c r="F80" s="2"/>
      <c r="G80" s="25"/>
      <c r="H80" s="29"/>
      <c r="I80" s="2"/>
    </row>
    <row r="81" spans="3:9" x14ac:dyDescent="0.3">
      <c r="C81" s="2"/>
      <c r="F81" s="2"/>
      <c r="G81" s="25"/>
      <c r="H81" s="29"/>
      <c r="I81" s="2"/>
    </row>
    <row r="82" spans="3:9" x14ac:dyDescent="0.3">
      <c r="C82" s="2"/>
      <c r="F82" s="2"/>
      <c r="G82" s="25"/>
      <c r="H82" s="29"/>
      <c r="I82" s="2"/>
    </row>
    <row r="83" spans="3:9" x14ac:dyDescent="0.3">
      <c r="C83" s="2"/>
      <c r="F83" s="2"/>
      <c r="G83" s="25"/>
      <c r="H83" s="29"/>
      <c r="I83" s="2"/>
    </row>
    <row r="84" spans="3:9" x14ac:dyDescent="0.3">
      <c r="C84" s="2"/>
      <c r="F84" s="2"/>
      <c r="G84" s="25"/>
      <c r="H84" s="29"/>
      <c r="I84" s="2"/>
    </row>
    <row r="85" spans="3:9" x14ac:dyDescent="0.3">
      <c r="C85" s="2"/>
      <c r="F85" s="2"/>
      <c r="G85" s="25"/>
      <c r="H85" s="29"/>
      <c r="I85" s="2"/>
    </row>
    <row r="86" spans="3:9" x14ac:dyDescent="0.3">
      <c r="C86" s="2"/>
      <c r="F86" s="2"/>
      <c r="G86" s="25"/>
      <c r="H86" s="29"/>
      <c r="I86" s="2"/>
    </row>
    <row r="87" spans="3:9" x14ac:dyDescent="0.3">
      <c r="C87" s="2"/>
      <c r="F87" s="2"/>
      <c r="G87" s="25"/>
      <c r="H87" s="29"/>
      <c r="I87" s="2"/>
    </row>
    <row r="88" spans="3:9" x14ac:dyDescent="0.3">
      <c r="C88" s="2"/>
      <c r="F88" s="2"/>
      <c r="G88" s="25"/>
      <c r="H88" s="29"/>
      <c r="I88" s="2"/>
    </row>
    <row r="89" spans="3:9" x14ac:dyDescent="0.3">
      <c r="C89" s="2"/>
      <c r="F89" s="2"/>
      <c r="G89" s="25"/>
      <c r="H89" s="29"/>
      <c r="I8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J5" sqref="J5"/>
    </sheetView>
  </sheetViews>
  <sheetFormatPr defaultRowHeight="14.4" x14ac:dyDescent="0.3"/>
  <cols>
    <col min="2" max="7" width="8.88671875" style="4"/>
  </cols>
  <sheetData>
    <row r="2" spans="2:7" x14ac:dyDescent="0.3">
      <c r="B2" s="38" t="s">
        <v>3</v>
      </c>
      <c r="C2" s="38"/>
      <c r="D2" s="38"/>
      <c r="E2" s="38"/>
      <c r="F2" s="38" t="s">
        <v>7</v>
      </c>
      <c r="G2" s="38"/>
    </row>
    <row r="3" spans="2:7" x14ac:dyDescent="0.3">
      <c r="B3" s="32"/>
      <c r="C3" s="32"/>
      <c r="D3" s="32"/>
      <c r="E3" s="32">
        <v>0</v>
      </c>
      <c r="F3" s="37">
        <v>0.27500000000000002</v>
      </c>
      <c r="G3" s="37"/>
    </row>
    <row r="4" spans="2:7" x14ac:dyDescent="0.3">
      <c r="B4" s="32"/>
      <c r="C4" s="32"/>
      <c r="D4" s="32"/>
      <c r="E4" s="32">
        <v>10</v>
      </c>
      <c r="F4" s="39">
        <v>0.55000000000000004</v>
      </c>
      <c r="G4" s="40"/>
    </row>
    <row r="5" spans="2:7" x14ac:dyDescent="0.3">
      <c r="B5" s="32"/>
      <c r="C5" s="32"/>
      <c r="D5" s="32"/>
      <c r="E5" s="32">
        <v>50</v>
      </c>
      <c r="F5" s="37">
        <v>0.5</v>
      </c>
      <c r="G5" s="37"/>
    </row>
    <row r="6" spans="2:7" x14ac:dyDescent="0.3">
      <c r="B6" s="32"/>
      <c r="C6" s="32"/>
      <c r="D6" s="32"/>
      <c r="E6" s="32">
        <v>120</v>
      </c>
      <c r="F6" s="37">
        <v>0.7</v>
      </c>
      <c r="G6" s="37"/>
    </row>
    <row r="7" spans="2:7" x14ac:dyDescent="0.3">
      <c r="B7" s="32"/>
      <c r="C7" s="32"/>
      <c r="D7" s="32"/>
      <c r="E7" s="32">
        <v>151</v>
      </c>
      <c r="F7" s="37">
        <v>0.88</v>
      </c>
      <c r="G7" s="37"/>
    </row>
    <row r="8" spans="2:7" x14ac:dyDescent="0.3">
      <c r="B8" s="32"/>
      <c r="C8" s="32"/>
      <c r="D8" s="32"/>
      <c r="E8" s="32">
        <v>201</v>
      </c>
      <c r="F8" s="37">
        <v>1.06</v>
      </c>
      <c r="G8" s="37"/>
    </row>
    <row r="9" spans="2:7" x14ac:dyDescent="0.3">
      <c r="B9" s="32"/>
      <c r="C9" s="32"/>
      <c r="D9" s="32"/>
      <c r="E9" s="32">
        <v>301</v>
      </c>
      <c r="F9" s="37">
        <v>1.42</v>
      </c>
      <c r="G9" s="37"/>
    </row>
    <row r="10" spans="2:7" x14ac:dyDescent="0.3">
      <c r="B10" s="32"/>
      <c r="C10" s="32"/>
      <c r="D10" s="32"/>
      <c r="E10" s="32">
        <v>401</v>
      </c>
      <c r="F10" s="37">
        <v>1.58</v>
      </c>
      <c r="G10" s="37"/>
    </row>
    <row r="11" spans="2:7" x14ac:dyDescent="0.3">
      <c r="B11" s="32"/>
      <c r="C11" s="32"/>
      <c r="D11" s="32"/>
      <c r="E11" s="32">
        <v>701</v>
      </c>
      <c r="F11" s="37">
        <v>2.82</v>
      </c>
      <c r="G11" s="37"/>
    </row>
    <row r="12" spans="2:7" x14ac:dyDescent="0.3">
      <c r="B12" s="32"/>
      <c r="C12" s="32"/>
      <c r="D12" s="32"/>
      <c r="E12" s="32">
        <v>1001</v>
      </c>
      <c r="F12" s="37">
        <v>3.15</v>
      </c>
      <c r="G12" s="37"/>
    </row>
    <row r="13" spans="2:7" x14ac:dyDescent="0.3">
      <c r="B13" s="32"/>
      <c r="C13" s="32"/>
      <c r="D13" s="32"/>
      <c r="E13" s="32">
        <v>1201</v>
      </c>
      <c r="F13" s="37">
        <v>3.52</v>
      </c>
      <c r="G13" s="37"/>
    </row>
  </sheetData>
  <mergeCells count="13">
    <mergeCell ref="F13:G13"/>
    <mergeCell ref="B2:E2"/>
    <mergeCell ref="F2:G2"/>
    <mergeCell ref="F3:G3"/>
    <mergeCell ref="F5:G5"/>
    <mergeCell ref="F6:G6"/>
    <mergeCell ref="F7:G7"/>
    <mergeCell ref="F8:G8"/>
    <mergeCell ref="F9:G9"/>
    <mergeCell ref="F10:G10"/>
    <mergeCell ref="F11:G11"/>
    <mergeCell ref="F12:G12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Dokumentum" shapeId="2051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457200</xdr:colOff>
                <xdr:row>46</xdr:row>
                <xdr:rowOff>152400</xdr:rowOff>
              </to>
            </anchor>
          </objectPr>
        </oleObject>
      </mc:Choice>
      <mc:Fallback>
        <oleObject progId="Dokumentum" shapeId="2051" r:id="rId4"/>
      </mc:Fallback>
    </mc:AlternateContent>
    <mc:AlternateContent xmlns:mc="http://schemas.openxmlformats.org/markup-compatibility/2006">
      <mc:Choice Requires="x14">
        <oleObject progId="Dokumentum" shapeId="2052" r:id="rId6">
          <objectPr defaultSize="0" r:id="rId7">
            <anchor moveWithCells="1">
              <from>
                <xdr:col>1</xdr:col>
                <xdr:colOff>0</xdr:colOff>
                <xdr:row>47</xdr:row>
                <xdr:rowOff>0</xdr:rowOff>
              </from>
              <to>
                <xdr:col>10</xdr:col>
                <xdr:colOff>457200</xdr:colOff>
                <xdr:row>93</xdr:row>
                <xdr:rowOff>76200</xdr:rowOff>
              </to>
            </anchor>
          </objectPr>
        </oleObject>
      </mc:Choice>
      <mc:Fallback>
        <oleObject progId="Dokumentum" shapeId="205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9</vt:i4>
      </vt:variant>
    </vt:vector>
  </HeadingPairs>
  <TitlesOfParts>
    <vt:vector size="13" baseType="lpstr">
      <vt:lpstr>Árkalkulátor</vt:lpstr>
      <vt:lpstr>Munka2</vt:lpstr>
      <vt:lpstr>Munka3</vt:lpstr>
      <vt:lpstr>Anyagjellemzők</vt:lpstr>
      <vt:lpstr>_3M384F</vt:lpstr>
      <vt:lpstr>_3M723D</vt:lpstr>
      <vt:lpstr>_3M784F</vt:lpstr>
      <vt:lpstr>_3M947A</vt:lpstr>
      <vt:lpstr>_3M967F</vt:lpstr>
      <vt:lpstr>_3M981F</vt:lpstr>
      <vt:lpstr>_3M984F</vt:lpstr>
      <vt:lpstr>_3MDurableFlex</vt:lpstr>
      <vt:lpstr>Terméknevek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Lucza József</dc:creator>
  <cp:lastModifiedBy>Németh Attila</cp:lastModifiedBy>
  <dcterms:created xsi:type="dcterms:W3CDTF">2019-01-05T07:32:30Z</dcterms:created>
  <dcterms:modified xsi:type="dcterms:W3CDTF">2020-09-04T09:32:58Z</dcterms:modified>
</cp:coreProperties>
</file>